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Website\Employee Benefits\"/>
    </mc:Choice>
  </mc:AlternateContent>
  <xr:revisionPtr revIDLastSave="0" documentId="8_{BA79CC04-9CA3-46F6-B544-BDCFBA916EDF}" xr6:coauthVersionLast="47" xr6:coauthVersionMax="47" xr10:uidLastSave="{00000000-0000-0000-0000-000000000000}"/>
  <bookViews>
    <workbookView xWindow="-108" yWindow="-108" windowWidth="23256" windowHeight="13896" xr2:uid="{6CB862A3-15A7-40E3-B134-36C06B07FD82}"/>
  </bookViews>
  <sheets>
    <sheet name="Practical Applica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/>
  <c r="E5" i="1"/>
  <c r="G5" i="1" s="1"/>
  <c r="F5" i="1"/>
  <c r="H5" i="1" s="1"/>
  <c r="E6" i="1"/>
  <c r="F6" i="1"/>
  <c r="H6" i="1" s="1"/>
  <c r="G6" i="1"/>
  <c r="D7" i="1"/>
  <c r="F8" i="1"/>
  <c r="G8" i="1" s="1"/>
  <c r="G9" i="1"/>
  <c r="H9" i="1"/>
  <c r="G10" i="1"/>
  <c r="H10" i="1"/>
  <c r="C11" i="1"/>
  <c r="G11" i="1" s="1"/>
  <c r="C71" i="1" s="1"/>
  <c r="E71" i="1" s="1"/>
  <c r="H11" i="1"/>
  <c r="C12" i="1"/>
  <c r="G12" i="1" s="1"/>
  <c r="C70" i="1" s="1"/>
  <c r="H12" i="1"/>
  <c r="C13" i="1"/>
  <c r="E13" i="1" s="1"/>
  <c r="C14" i="1"/>
  <c r="G14" i="1" s="1"/>
  <c r="C15" i="1"/>
  <c r="E15" i="1" s="1"/>
  <c r="F16" i="1"/>
  <c r="G16" i="1" s="1"/>
  <c r="C76" i="1" s="1"/>
  <c r="E76" i="1" s="1"/>
  <c r="H16" i="1"/>
  <c r="C17" i="1"/>
  <c r="E17" i="1" s="1"/>
  <c r="G38" i="1" s="1"/>
  <c r="G40" i="1" s="1"/>
  <c r="G48" i="1" s="1"/>
  <c r="G47" i="1" s="1"/>
  <c r="F17" i="1"/>
  <c r="F18" i="1"/>
  <c r="G18" i="1"/>
  <c r="H18" i="1"/>
  <c r="C102" i="1" s="1"/>
  <c r="E19" i="1"/>
  <c r="G19" i="1" s="1"/>
  <c r="H21" i="1"/>
  <c r="F22" i="1"/>
  <c r="G22" i="1" s="1"/>
  <c r="E23" i="1"/>
  <c r="G23" i="1" s="1"/>
  <c r="C108" i="1" s="1"/>
  <c r="E108" i="1" s="1"/>
  <c r="H23" i="1"/>
  <c r="G24" i="1"/>
  <c r="H24" i="1"/>
  <c r="E25" i="1"/>
  <c r="G25" i="1"/>
  <c r="C110" i="1" s="1"/>
  <c r="H25" i="1"/>
  <c r="G26" i="1"/>
  <c r="H26" i="1"/>
  <c r="G27" i="1"/>
  <c r="H27" i="1"/>
  <c r="E28" i="1"/>
  <c r="G28" i="1"/>
  <c r="H28" i="1"/>
  <c r="E29" i="1"/>
  <c r="G29" i="1"/>
  <c r="H29" i="1"/>
  <c r="G30" i="1"/>
  <c r="H30" i="1"/>
  <c r="C31" i="1"/>
  <c r="D32" i="1" s="1"/>
  <c r="D31" i="1"/>
  <c r="C37" i="1"/>
  <c r="G37" i="1"/>
  <c r="C38" i="1"/>
  <c r="D58" i="1" s="1"/>
  <c r="C39" i="1"/>
  <c r="G39" i="1"/>
  <c r="C40" i="1"/>
  <c r="C49" i="1" s="1"/>
  <c r="C43" i="1"/>
  <c r="G43" i="1"/>
  <c r="C46" i="1"/>
  <c r="G46" i="1"/>
  <c r="C47" i="1"/>
  <c r="C57" i="1" s="1"/>
  <c r="C55" i="1"/>
  <c r="D110" i="1" s="1"/>
  <c r="C56" i="1"/>
  <c r="D68" i="1"/>
  <c r="C69" i="1"/>
  <c r="E69" i="1"/>
  <c r="D73" i="1"/>
  <c r="D78" i="1" s="1"/>
  <c r="E74" i="1"/>
  <c r="C92" i="1"/>
  <c r="E92" i="1"/>
  <c r="D104" i="1"/>
  <c r="C105" i="1"/>
  <c r="E106" i="1"/>
  <c r="E107" i="1"/>
  <c r="C109" i="1"/>
  <c r="E109" i="1" s="1"/>
  <c r="C111" i="1"/>
  <c r="E111" i="1"/>
  <c r="C112" i="1"/>
  <c r="E112" i="1"/>
  <c r="C113" i="1"/>
  <c r="E113" i="1"/>
  <c r="E114" i="1"/>
  <c r="E122" i="1"/>
  <c r="C123" i="1"/>
  <c r="E123" i="1"/>
  <c r="E125" i="1"/>
  <c r="E126" i="1"/>
  <c r="E127" i="1"/>
  <c r="C128" i="1"/>
  <c r="E129" i="1"/>
  <c r="C131" i="1"/>
  <c r="E131" i="1"/>
  <c r="E132" i="1"/>
  <c r="D59" i="1" l="1"/>
  <c r="D83" i="1" s="1"/>
  <c r="D90" i="1" s="1"/>
  <c r="E110" i="1"/>
  <c r="E70" i="1"/>
  <c r="E68" i="1" s="1"/>
  <c r="E102" i="1"/>
  <c r="G56" i="1"/>
  <c r="G57" i="1"/>
  <c r="D124" i="1" s="1"/>
  <c r="C82" i="1"/>
  <c r="G17" i="1"/>
  <c r="C83" i="1" s="1"/>
  <c r="E83" i="1" s="1"/>
  <c r="G13" i="1"/>
  <c r="H17" i="1"/>
  <c r="F13" i="1"/>
  <c r="H13" i="1" s="1"/>
  <c r="H22" i="1"/>
  <c r="F7" i="1"/>
  <c r="E20" i="1"/>
  <c r="H19" i="1"/>
  <c r="F15" i="1"/>
  <c r="H15" i="1" s="1"/>
  <c r="H14" i="1"/>
  <c r="H8" i="1"/>
  <c r="C87" i="1" s="1"/>
  <c r="E87" i="1" s="1"/>
  <c r="E124" i="1" l="1"/>
  <c r="D128" i="1"/>
  <c r="E82" i="1"/>
  <c r="H58" i="1"/>
  <c r="D105" i="1" s="1"/>
  <c r="G15" i="1"/>
  <c r="C75" i="1" s="1"/>
  <c r="G20" i="1"/>
  <c r="H20" i="1"/>
  <c r="F31" i="1"/>
  <c r="E7" i="1"/>
  <c r="H7" i="1"/>
  <c r="C103" i="1"/>
  <c r="E75" i="1" l="1"/>
  <c r="E73" i="1" s="1"/>
  <c r="E78" i="1" s="1"/>
  <c r="C78" i="1"/>
  <c r="D115" i="1"/>
  <c r="D117" i="1" s="1"/>
  <c r="E105" i="1"/>
  <c r="E103" i="1"/>
  <c r="E104" i="1" s="1"/>
  <c r="E115" i="1" s="1"/>
  <c r="C104" i="1"/>
  <c r="C115" i="1" s="1"/>
  <c r="D130" i="1"/>
  <c r="E128" i="1"/>
  <c r="C86" i="1"/>
  <c r="H31" i="1"/>
  <c r="E31" i="1"/>
  <c r="E32" i="1" s="1"/>
  <c r="G7" i="1"/>
  <c r="G31" i="1" s="1"/>
  <c r="C116" i="1" l="1"/>
  <c r="C117" i="1"/>
  <c r="E86" i="1"/>
  <c r="C130" i="1" l="1"/>
  <c r="E117" i="1"/>
  <c r="E116" i="1"/>
  <c r="C88" i="1"/>
  <c r="E130" i="1" l="1"/>
  <c r="E133" i="1" s="1"/>
  <c r="E93" i="1" s="1"/>
  <c r="C133" i="1"/>
  <c r="C93" i="1" s="1"/>
  <c r="E88" i="1"/>
  <c r="E90" i="1" s="1"/>
  <c r="E95" i="1" s="1"/>
  <c r="E96" i="1" s="1"/>
  <c r="C90" i="1"/>
  <c r="C95" i="1" s="1"/>
  <c r="C96" i="1" s="1"/>
  <c r="D93" i="1" l="1"/>
  <c r="D95" i="1" s="1"/>
  <c r="D96" i="1" s="1"/>
</calcChain>
</file>

<file path=xl/sharedStrings.xml><?xml version="1.0" encoding="utf-8"?>
<sst xmlns="http://schemas.openxmlformats.org/spreadsheetml/2006/main" count="142" uniqueCount="123">
  <si>
    <t>Retained earnings at end of year</t>
  </si>
  <si>
    <t>Dividend Paid</t>
  </si>
  <si>
    <t>Retained earnings at start of year</t>
  </si>
  <si>
    <t>Total Compresensive Income for the year, net of tax</t>
  </si>
  <si>
    <t>Total Other Comprehensive Income for the year, net of tax</t>
  </si>
  <si>
    <t>Exchange Difference on translation of Foreign operations</t>
  </si>
  <si>
    <t>Items that may be re-classified subsequently to Profit or Loss:</t>
  </si>
  <si>
    <t>=1940200+1400132</t>
  </si>
  <si>
    <t>Actuarial Gain/(Loss) on Employment Defined Benefit Plans</t>
  </si>
  <si>
    <t>FV gain on FA at FVTOCI</t>
  </si>
  <si>
    <t>PPE Revaluation Reserve</t>
  </si>
  <si>
    <t>Items that will not be re-classified to Profit or Loss:</t>
  </si>
  <si>
    <t>Statement Of Other Comprehensive Income:</t>
  </si>
  <si>
    <t>Profit for the year</t>
  </si>
  <si>
    <r>
      <rPr>
        <sz val="10"/>
        <color rgb="FF4A4A49"/>
        <rFont val="Calibri"/>
        <family val="2"/>
      </rPr>
      <t>Income tax expense</t>
    </r>
  </si>
  <si>
    <r>
      <rPr>
        <b/>
        <sz val="10"/>
        <color rgb="FF4A4A49"/>
        <rFont val="Calibri"/>
        <family val="2"/>
      </rPr>
      <t>Profit before tax</t>
    </r>
  </si>
  <si>
    <r>
      <rPr>
        <sz val="10"/>
        <color rgb="FF4A4A49"/>
        <rFont val="Calibri"/>
        <family val="2"/>
      </rPr>
      <t>Finance costs</t>
    </r>
  </si>
  <si>
    <t>Other Office expenses</t>
  </si>
  <si>
    <t>Rental Expenses</t>
  </si>
  <si>
    <t>Depreciation and amortisation expense</t>
  </si>
  <si>
    <t>=1,545,000-648,900-875,900</t>
  </si>
  <si>
    <t>Employee benefits</t>
  </si>
  <si>
    <t xml:space="preserve">Employee salaries and </t>
  </si>
  <si>
    <t>Administrative expenses</t>
  </si>
  <si>
    <r>
      <rPr>
        <sz val="10"/>
        <color rgb="FF4A4A49"/>
        <rFont val="Calibri"/>
        <family val="2"/>
      </rPr>
      <t>Distribution costs</t>
    </r>
  </si>
  <si>
    <t>FV gain on Investment</t>
  </si>
  <si>
    <t>=2,150,000-749,868</t>
  </si>
  <si>
    <r>
      <rPr>
        <sz val="10"/>
        <color rgb="FF4A4A49"/>
        <rFont val="Calibri"/>
        <family val="2"/>
      </rPr>
      <t>Other income</t>
    </r>
  </si>
  <si>
    <r>
      <rPr>
        <b/>
        <sz val="10"/>
        <color rgb="FF4A4A49"/>
        <rFont val="Calibri"/>
        <family val="2"/>
      </rPr>
      <t>Gross profit</t>
    </r>
  </si>
  <si>
    <r>
      <rPr>
        <sz val="10"/>
        <color rgb="FF4A4A49"/>
        <rFont val="Calibri"/>
        <family val="2"/>
      </rPr>
      <t>Cost of sales</t>
    </r>
  </si>
  <si>
    <r>
      <rPr>
        <sz val="10"/>
        <color rgb="FF4A4A49"/>
        <rFont val="Calibri"/>
        <family val="2"/>
      </rPr>
      <t>Revenue</t>
    </r>
  </si>
  <si>
    <t>Details of Adj.</t>
  </si>
  <si>
    <t>Finalized</t>
  </si>
  <si>
    <t>Actuarial Adjustments</t>
  </si>
  <si>
    <t>As per Trial</t>
  </si>
  <si>
    <t>Particulars</t>
  </si>
  <si>
    <t>Statement of Profit/Loss</t>
  </si>
  <si>
    <t>Total Liabilities and equity</t>
  </si>
  <si>
    <t>=1,420,332-3,340,332</t>
  </si>
  <si>
    <t>Retained Earnings</t>
  </si>
  <si>
    <t>Share Capital</t>
  </si>
  <si>
    <t>Total Liabilities</t>
  </si>
  <si>
    <t>Current Tax liability</t>
  </si>
  <si>
    <t>Other Payables</t>
  </si>
  <si>
    <t>Trade payables</t>
  </si>
  <si>
    <t>Current liabilities</t>
  </si>
  <si>
    <t>Post-Employment benefit obligation</t>
  </si>
  <si>
    <t>Bank Loan</t>
  </si>
  <si>
    <t>Non- current Liabilities</t>
  </si>
  <si>
    <t>LIABILITIES AND EQUITY</t>
  </si>
  <si>
    <t>Total Assets</t>
  </si>
  <si>
    <t>Cash and cash equivalents</t>
  </si>
  <si>
    <t>Trade and other receivables</t>
  </si>
  <si>
    <t>Inventories</t>
  </si>
  <si>
    <t>Current assets</t>
  </si>
  <si>
    <t>Intangible assets</t>
  </si>
  <si>
    <t>Investment in Shares</t>
  </si>
  <si>
    <t>Property, plant and equipment</t>
  </si>
  <si>
    <t>Non-Current assets</t>
  </si>
  <si>
    <t>ASSETS</t>
  </si>
  <si>
    <t>Statement of Financial Position</t>
  </si>
  <si>
    <t>To Defined Benefit Plan A/c</t>
  </si>
  <si>
    <t>To Interest Income - NFRS A/c</t>
  </si>
  <si>
    <t>To Pension Expenses A/c</t>
  </si>
  <si>
    <t>Actuarial Loss - OCI A/c Dr.</t>
  </si>
  <si>
    <t>Actuarial Loss A/c Dr.</t>
  </si>
  <si>
    <t>Interest Income GAAP A/c Dr.</t>
  </si>
  <si>
    <t>Interest Cost A/c Dr.</t>
  </si>
  <si>
    <t>Service Costs A/c Dr.</t>
  </si>
  <si>
    <t>A simple Adjustment entry would be :</t>
  </si>
  <si>
    <t>So,</t>
  </si>
  <si>
    <t>In case of Plan Asset, the change relates to only the interest income and equivalent effect to the actuarial Variance.</t>
  </si>
  <si>
    <t>In Liability , the difference in Closing Provision is only due to Increase in Expenses and the actuarial Gain/Loss</t>
  </si>
  <si>
    <t>Effect of NFRS Application [A-B]</t>
  </si>
  <si>
    <t>Closing Provision</t>
  </si>
  <si>
    <t>Closing Provision [B]</t>
  </si>
  <si>
    <t>Actuarial Gain/(Loss)</t>
  </si>
  <si>
    <t>Actuarial (Gain)/Loss</t>
  </si>
  <si>
    <t>Payments</t>
  </si>
  <si>
    <t>Interest Income</t>
  </si>
  <si>
    <t>Interest Costs</t>
  </si>
  <si>
    <t>Contribution</t>
  </si>
  <si>
    <t>Service Costs</t>
  </si>
  <si>
    <t>Opening Balance</t>
  </si>
  <si>
    <t>Opening Provision</t>
  </si>
  <si>
    <t>As per the Actuarial Report</t>
  </si>
  <si>
    <t>Closing</t>
  </si>
  <si>
    <t>Closing [A]</t>
  </si>
  <si>
    <t>Payment</t>
  </si>
  <si>
    <t>Expenses</t>
  </si>
  <si>
    <t>Movement of Plan Asset [GAAP]</t>
  </si>
  <si>
    <t>Movement of Defined Benefit Obligation [GAAP]</t>
  </si>
  <si>
    <t>Total</t>
  </si>
  <si>
    <t>Other Expenes</t>
  </si>
  <si>
    <t>Office Expenses</t>
  </si>
  <si>
    <t>Rental Charges</t>
  </si>
  <si>
    <t>Depreciation Expenses</t>
  </si>
  <si>
    <t>Pension Expenses</t>
  </si>
  <si>
    <t>Salary expenses</t>
  </si>
  <si>
    <t>Admin Expenses</t>
  </si>
  <si>
    <t>FV Gain on Investment</t>
  </si>
  <si>
    <t>Other Income</t>
  </si>
  <si>
    <t>Other Direct Expenses</t>
  </si>
  <si>
    <t>Purchase</t>
  </si>
  <si>
    <t>Sales revenue</t>
  </si>
  <si>
    <t>Plan Asset</t>
  </si>
  <si>
    <t>Cash and Cash Equivalent</t>
  </si>
  <si>
    <t>Other Receivables</t>
  </si>
  <si>
    <t>Inventory</t>
  </si>
  <si>
    <t>Trade receivabes</t>
  </si>
  <si>
    <t>Investment at FVTOCI</t>
  </si>
  <si>
    <t>Intangible Assets</t>
  </si>
  <si>
    <t>Property Plant and Equipment</t>
  </si>
  <si>
    <t>Defined Benefit Liability</t>
  </si>
  <si>
    <t>Trade Payables</t>
  </si>
  <si>
    <t>Duties and Taxes Payables</t>
  </si>
  <si>
    <t>Loans</t>
  </si>
  <si>
    <t>Capital</t>
  </si>
  <si>
    <t>Credit</t>
  </si>
  <si>
    <t>Debit</t>
  </si>
  <si>
    <t>Transactions</t>
  </si>
  <si>
    <t>Opening</t>
  </si>
  <si>
    <t>Trial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</si>
</sst>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Aptos Narrow"/>
      <family val="1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0"/>
      <color rgb="FF4A4A49"/>
      <name val="Calibri"/>
      <family val="2"/>
    </font>
    <font>
      <b/>
      <sz val="10"/>
      <color rgb="FF4A4A49"/>
      <name val="Calibri"/>
      <family val="2"/>
    </font>
    <font>
      <b/>
      <sz val="12"/>
      <color rgb="FF4A4A49"/>
      <name val="Calibri"/>
      <family val="2"/>
    </font>
    <font>
      <b/>
      <u/>
      <sz val="14"/>
      <color theme="1"/>
      <name val="Aptos Narrow"/>
      <family val="2"/>
      <scheme val="minor"/>
    </font>
    <font>
      <sz val="10"/>
      <color rgb="FF595959"/>
      <name val="Calibri"/>
      <family val="2"/>
    </font>
    <font>
      <b/>
      <u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73">
    <xf numFmtId="0" fontId="0" fillId="0" borderId="0" xfId="0"/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43" fontId="3" fillId="2" borderId="1" xfId="1" applyFont="1" applyFill="1" applyBorder="1" applyAlignment="1">
      <alignment horizontal="left" vertical="center" wrapText="1"/>
    </xf>
    <xf numFmtId="0" fontId="5" fillId="2" borderId="1" xfId="2" applyFont="1" applyFill="1" applyBorder="1" applyAlignment="1">
      <alignment horizontal="left" vertical="center" wrapText="1"/>
    </xf>
    <xf numFmtId="43" fontId="6" fillId="0" borderId="2" xfId="1" applyFont="1" applyBorder="1" applyAlignment="1">
      <alignment horizontal="center" vertical="center"/>
    </xf>
    <xf numFmtId="43" fontId="7" fillId="0" borderId="2" xfId="1" applyFont="1" applyBorder="1" applyAlignment="1">
      <alignment horizontal="left" vertical="center"/>
    </xf>
    <xf numFmtId="0" fontId="8" fillId="0" borderId="2" xfId="2" applyFont="1" applyBorder="1" applyAlignment="1">
      <alignment horizontal="left" vertical="center" wrapText="1"/>
    </xf>
    <xf numFmtId="43" fontId="3" fillId="0" borderId="2" xfId="1" applyFont="1" applyBorder="1" applyAlignment="1">
      <alignment horizontal="left" vertical="center"/>
    </xf>
    <xf numFmtId="0" fontId="6" fillId="0" borderId="2" xfId="2" applyFont="1" applyBorder="1" applyAlignment="1">
      <alignment horizontal="left" vertical="center" wrapText="1"/>
    </xf>
    <xf numFmtId="0" fontId="9" fillId="0" borderId="2" xfId="2" applyFont="1" applyBorder="1" applyAlignment="1">
      <alignment horizontal="left" vertical="center" wrapText="1"/>
    </xf>
    <xf numFmtId="43" fontId="0" fillId="0" borderId="0" xfId="0" applyNumberFormat="1" applyAlignment="1">
      <alignment vertical="center"/>
    </xf>
    <xf numFmtId="43" fontId="0" fillId="0" borderId="0" xfId="0" quotePrefix="1" applyNumberFormat="1" applyAlignment="1">
      <alignment vertical="center"/>
    </xf>
    <xf numFmtId="43" fontId="5" fillId="0" borderId="3" xfId="1" applyFont="1" applyBorder="1" applyAlignment="1">
      <alignment horizontal="center" vertical="center"/>
    </xf>
    <xf numFmtId="43" fontId="3" fillId="0" borderId="3" xfId="1" applyFont="1" applyBorder="1" applyAlignment="1">
      <alignment horizontal="left" vertical="center"/>
    </xf>
    <xf numFmtId="0" fontId="9" fillId="0" borderId="3" xfId="2" applyFont="1" applyBorder="1" applyAlignment="1">
      <alignment horizontal="left" vertical="center" wrapText="1"/>
    </xf>
    <xf numFmtId="43" fontId="0" fillId="0" borderId="0" xfId="1" applyFont="1" applyBorder="1" applyAlignment="1">
      <alignment vertical="center"/>
    </xf>
    <xf numFmtId="43" fontId="5" fillId="0" borderId="0" xfId="1" applyFont="1" applyBorder="1" applyAlignment="1">
      <alignment horizontal="center" vertical="center"/>
    </xf>
    <xf numFmtId="43" fontId="3" fillId="0" borderId="0" xfId="1" applyFont="1" applyBorder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11" fillId="0" borderId="0" xfId="0" applyFont="1" applyAlignment="1">
      <alignment vertical="center"/>
    </xf>
    <xf numFmtId="43" fontId="5" fillId="0" borderId="0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43" fontId="6" fillId="0" borderId="2" xfId="1" applyFont="1" applyBorder="1" applyAlignment="1">
      <alignment horizontal="center" vertical="center" wrapText="1"/>
    </xf>
    <xf numFmtId="43" fontId="8" fillId="0" borderId="2" xfId="1" applyFont="1" applyBorder="1" applyAlignment="1">
      <alignment horizontal="center" vertical="center" shrinkToFit="1"/>
    </xf>
    <xf numFmtId="43" fontId="8" fillId="0" borderId="2" xfId="1" applyFont="1" applyBorder="1" applyAlignment="1">
      <alignment horizontal="center" vertical="center" wrapText="1"/>
    </xf>
    <xf numFmtId="43" fontId="7" fillId="0" borderId="2" xfId="1" applyFont="1" applyBorder="1" applyAlignment="1">
      <alignment horizontal="left" vertical="center" wrapText="1"/>
    </xf>
    <xf numFmtId="0" fontId="12" fillId="0" borderId="2" xfId="2" applyFont="1" applyBorder="1" applyAlignment="1">
      <alignment horizontal="left" vertical="center" wrapText="1"/>
    </xf>
    <xf numFmtId="0" fontId="0" fillId="0" borderId="0" xfId="0" quotePrefix="1" applyAlignment="1">
      <alignment horizontal="left" vertical="center"/>
    </xf>
    <xf numFmtId="43" fontId="6" fillId="0" borderId="4" xfId="1" applyFont="1" applyBorder="1" applyAlignment="1">
      <alignment horizontal="center" vertical="center" wrapText="1"/>
    </xf>
    <xf numFmtId="43" fontId="8" fillId="0" borderId="4" xfId="1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 wrapText="1"/>
    </xf>
    <xf numFmtId="43" fontId="0" fillId="0" borderId="0" xfId="0" quotePrefix="1" applyNumberFormat="1" applyAlignment="1">
      <alignment horizontal="center" vertical="center"/>
    </xf>
    <xf numFmtId="43" fontId="6" fillId="0" borderId="5" xfId="1" applyFont="1" applyBorder="1" applyAlignment="1">
      <alignment horizontal="center" vertical="center" wrapText="1"/>
    </xf>
    <xf numFmtId="43" fontId="7" fillId="0" borderId="5" xfId="1" applyFont="1" applyBorder="1" applyAlignment="1">
      <alignment horizontal="left" vertical="center" wrapText="1"/>
    </xf>
    <xf numFmtId="0" fontId="6" fillId="0" borderId="5" xfId="2" applyFont="1" applyBorder="1" applyAlignment="1">
      <alignment horizontal="left" vertical="center" wrapText="1"/>
    </xf>
    <xf numFmtId="43" fontId="0" fillId="0" borderId="0" xfId="1" applyFont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left" vertical="center" wrapText="1"/>
    </xf>
    <xf numFmtId="43" fontId="5" fillId="2" borderId="6" xfId="2" applyNumberFormat="1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left" vertical="center"/>
    </xf>
    <xf numFmtId="0" fontId="6" fillId="0" borderId="5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left" vertical="center"/>
    </xf>
    <xf numFmtId="43" fontId="0" fillId="0" borderId="0" xfId="1" quotePrefix="1" applyFont="1" applyAlignment="1">
      <alignment horizontal="center" vertical="center"/>
    </xf>
    <xf numFmtId="43" fontId="6" fillId="0" borderId="5" xfId="2" applyNumberFormat="1" applyFont="1" applyBorder="1" applyAlignment="1">
      <alignment horizontal="center" vertical="center" wrapText="1"/>
    </xf>
    <xf numFmtId="43" fontId="6" fillId="0" borderId="2" xfId="2" applyNumberFormat="1" applyFont="1" applyBorder="1" applyAlignment="1">
      <alignment horizontal="center" vertical="center" wrapText="1"/>
    </xf>
    <xf numFmtId="43" fontId="5" fillId="0" borderId="4" xfId="2" applyNumberFormat="1" applyFont="1" applyBorder="1" applyAlignment="1">
      <alignment horizontal="center" vertical="center" wrapText="1"/>
    </xf>
    <xf numFmtId="0" fontId="5" fillId="0" borderId="4" xfId="2" applyFont="1" applyBorder="1" applyAlignment="1">
      <alignment horizontal="left" vertical="center"/>
    </xf>
    <xf numFmtId="43" fontId="5" fillId="0" borderId="2" xfId="2" applyNumberFormat="1" applyFont="1" applyBorder="1" applyAlignment="1">
      <alignment horizontal="left" vertical="center" wrapText="1"/>
    </xf>
    <xf numFmtId="0" fontId="5" fillId="0" borderId="2" xfId="2" applyFont="1" applyBorder="1" applyAlignment="1">
      <alignment horizontal="left" vertical="center" wrapText="1"/>
    </xf>
    <xf numFmtId="43" fontId="5" fillId="0" borderId="7" xfId="2" applyNumberFormat="1" applyFont="1" applyBorder="1" applyAlignment="1">
      <alignment horizontal="left" vertical="center"/>
    </xf>
    <xf numFmtId="0" fontId="5" fillId="0" borderId="2" xfId="2" applyFont="1" applyBorder="1" applyAlignment="1">
      <alignment horizontal="left" vertical="center"/>
    </xf>
    <xf numFmtId="0" fontId="5" fillId="0" borderId="4" xfId="2" applyFont="1" applyBorder="1" applyAlignment="1">
      <alignment horizontal="left" vertical="center" wrapText="1"/>
    </xf>
    <xf numFmtId="0" fontId="5" fillId="2" borderId="6" xfId="2" applyFont="1" applyFill="1" applyBorder="1" applyAlignment="1">
      <alignment horizontal="left" vertical="center" wrapText="1"/>
    </xf>
    <xf numFmtId="43" fontId="6" fillId="0" borderId="2" xfId="2" applyNumberFormat="1" applyFont="1" applyBorder="1" applyAlignment="1">
      <alignment horizontal="left" vertical="center"/>
    </xf>
    <xf numFmtId="0" fontId="5" fillId="3" borderId="2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43" fontId="0" fillId="0" borderId="0" xfId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3" fontId="2" fillId="0" borderId="8" xfId="1" applyFont="1" applyBorder="1" applyAlignment="1">
      <alignment vertical="center"/>
    </xf>
    <xf numFmtId="0" fontId="2" fillId="0" borderId="8" xfId="0" applyFont="1" applyBorder="1" applyAlignment="1">
      <alignment vertical="center"/>
    </xf>
    <xf numFmtId="43" fontId="2" fillId="0" borderId="0" xfId="1" applyFont="1" applyBorder="1" applyAlignment="1">
      <alignment vertical="center"/>
    </xf>
    <xf numFmtId="43" fontId="2" fillId="0" borderId="8" xfId="0" applyNumberFormat="1" applyFont="1" applyBorder="1" applyAlignment="1">
      <alignment vertical="center"/>
    </xf>
    <xf numFmtId="43" fontId="2" fillId="0" borderId="0" xfId="0" applyNumberFormat="1" applyFont="1" applyAlignment="1">
      <alignment vertical="center"/>
    </xf>
    <xf numFmtId="43" fontId="2" fillId="0" borderId="9" xfId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3" fontId="2" fillId="0" borderId="8" xfId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4D1F8079-DDB2-4825-AFD7-E1A7F2DFE4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10F9-AFB1-40B0-BA9A-992FAEAB9222}">
  <dimension ref="B2:I134"/>
  <sheetViews>
    <sheetView showGridLines="0" tabSelected="1" topLeftCell="A125" zoomScale="145" zoomScaleNormal="145" workbookViewId="0">
      <selection activeCell="D63" sqref="D63"/>
    </sheetView>
  </sheetViews>
  <sheetFormatPr defaultRowHeight="14.4" x14ac:dyDescent="0.3"/>
  <cols>
    <col min="1" max="1" width="8.88671875" style="1"/>
    <col min="2" max="2" width="28.5546875" style="1" customWidth="1"/>
    <col min="3" max="4" width="17.21875" style="1" bestFit="1" customWidth="1"/>
    <col min="5" max="5" width="15.88671875" style="2" customWidth="1"/>
    <col min="6" max="6" width="23.77734375" style="2" customWidth="1"/>
    <col min="7" max="8" width="15.5546875" style="2" bestFit="1" customWidth="1"/>
    <col min="9" max="16384" width="8.88671875" style="1"/>
  </cols>
  <sheetData>
    <row r="2" spans="2:8" ht="15" thickBot="1" x14ac:dyDescent="0.35">
      <c r="B2" s="72" t="s">
        <v>122</v>
      </c>
      <c r="C2" s="71" t="s">
        <v>121</v>
      </c>
      <c r="D2" s="71"/>
      <c r="E2" s="70" t="s">
        <v>120</v>
      </c>
      <c r="F2" s="70"/>
      <c r="G2" s="70" t="s">
        <v>86</v>
      </c>
      <c r="H2" s="70"/>
    </row>
    <row r="3" spans="2:8" ht="15" thickBot="1" x14ac:dyDescent="0.35">
      <c r="B3" s="69"/>
      <c r="C3" s="68" t="s">
        <v>119</v>
      </c>
      <c r="D3" s="68" t="s">
        <v>118</v>
      </c>
      <c r="E3" s="67" t="s">
        <v>119</v>
      </c>
      <c r="F3" s="67" t="s">
        <v>118</v>
      </c>
      <c r="G3" s="67" t="s">
        <v>119</v>
      </c>
      <c r="H3" s="67" t="s">
        <v>118</v>
      </c>
    </row>
    <row r="4" spans="2:8" x14ac:dyDescent="0.3">
      <c r="B4" s="1" t="s">
        <v>117</v>
      </c>
      <c r="D4" s="2">
        <v>26000000</v>
      </c>
      <c r="G4" s="2">
        <f>IF((C4+E4)&gt;(D4+F4),C4+E4-F4-D4,0)</f>
        <v>0</v>
      </c>
      <c r="H4" s="2">
        <f>IF((D4+F4)&gt;(C4+E4),D4+F4-E4-C4,0)</f>
        <v>26000000</v>
      </c>
    </row>
    <row r="5" spans="2:8" x14ac:dyDescent="0.3">
      <c r="B5" s="1" t="s">
        <v>116</v>
      </c>
      <c r="D5" s="2">
        <v>1450000</v>
      </c>
      <c r="E5" s="2">
        <f>D5*0.89</f>
        <v>1290500</v>
      </c>
      <c r="F5" s="2">
        <f>D5*1.11</f>
        <v>1609500.0000000002</v>
      </c>
      <c r="G5" s="2">
        <f>IF((C5+E5)&gt;(D5+F5),C5+E5-F5-D5,0)</f>
        <v>0</v>
      </c>
      <c r="H5" s="2">
        <f>IF((D5+F5)&gt;(C5+E5),D5+F5-E5-C5,0)</f>
        <v>1769000</v>
      </c>
    </row>
    <row r="6" spans="2:8" x14ac:dyDescent="0.3">
      <c r="B6" s="1" t="s">
        <v>115</v>
      </c>
      <c r="D6" s="2">
        <v>248900</v>
      </c>
      <c r="E6" s="2">
        <f>D6*0.89</f>
        <v>221521</v>
      </c>
      <c r="F6" s="2">
        <f>D6*1.11</f>
        <v>276279</v>
      </c>
      <c r="G6" s="2">
        <f>IF((C6+E6)&gt;(D6+F6),C6+E6-F6-D6,0)</f>
        <v>0</v>
      </c>
      <c r="H6" s="2">
        <f>IF((D6+F6)&gt;(C6+E6),D6+F6-E6-C6,0)</f>
        <v>303658</v>
      </c>
    </row>
    <row r="7" spans="2:8" x14ac:dyDescent="0.3">
      <c r="B7" s="1" t="s">
        <v>114</v>
      </c>
      <c r="D7" s="2">
        <f>745000000*0.99</f>
        <v>737550000</v>
      </c>
      <c r="E7" s="2">
        <f>F7*0.688</f>
        <v>82820423.741439998</v>
      </c>
      <c r="F7" s="2">
        <f>E19*1.1</f>
        <v>120378522.88000001</v>
      </c>
      <c r="G7" s="2">
        <f>IF((C7+E7)&gt;(D7+F7),C7+E7-F7-D7,0)</f>
        <v>0</v>
      </c>
      <c r="H7" s="2">
        <f>IF((D7+F7)&gt;(C7+E7),D7+F7-E7-C7,0)</f>
        <v>775108099.13856006</v>
      </c>
    </row>
    <row r="8" spans="2:8" x14ac:dyDescent="0.3">
      <c r="B8" s="1" t="s">
        <v>43</v>
      </c>
      <c r="D8" s="2">
        <v>17854000</v>
      </c>
      <c r="E8" s="2">
        <v>1879000</v>
      </c>
      <c r="F8" s="2">
        <f>2245000</f>
        <v>2245000</v>
      </c>
      <c r="G8" s="2">
        <f>IF((C8+E8)&gt;(D8+F8),C8+E8-F8-D8,0)</f>
        <v>0</v>
      </c>
      <c r="H8" s="2">
        <f>IF((D8+F8)&gt;(C8+E8),D8+F8-E8-C8,0)</f>
        <v>18220000</v>
      </c>
    </row>
    <row r="9" spans="2:8" x14ac:dyDescent="0.3">
      <c r="B9" s="1" t="s">
        <v>113</v>
      </c>
      <c r="D9" s="2">
        <v>9845000</v>
      </c>
      <c r="E9" s="2">
        <v>1750000</v>
      </c>
      <c r="F9" s="2">
        <v>1545000</v>
      </c>
      <c r="G9" s="2">
        <f>IF((C9+E9)&gt;(D9+F9),C9+E9-F9-D9,0)</f>
        <v>0</v>
      </c>
      <c r="H9" s="2">
        <f>IF((D9+F9)&gt;(C9+E9),D9+F9-E9-C9,0)</f>
        <v>9640000</v>
      </c>
    </row>
    <row r="10" spans="2:8" x14ac:dyDescent="0.3">
      <c r="B10" s="1" t="s">
        <v>112</v>
      </c>
      <c r="C10" s="2">
        <v>158750000</v>
      </c>
      <c r="E10" s="2">
        <v>8900000</v>
      </c>
      <c r="F10" s="2">
        <v>2456000</v>
      </c>
      <c r="G10" s="2">
        <f>IF((C10+E10)&gt;(D10+F10),C10+E10-F10-D10,0)</f>
        <v>165194000</v>
      </c>
      <c r="H10" s="2">
        <f>IF((D10+F10)&gt;(C10+E10),D10+F10-E10-C10,0)</f>
        <v>0</v>
      </c>
    </row>
    <row r="11" spans="2:8" x14ac:dyDescent="0.3">
      <c r="B11" s="1" t="s">
        <v>111</v>
      </c>
      <c r="C11" s="11">
        <f>C10*0.2</f>
        <v>31750000</v>
      </c>
      <c r="F11" s="2">
        <v>2300000</v>
      </c>
      <c r="G11" s="2">
        <f>IF((C11+E11)&gt;(D11+F11),C11+E11-F11-D11,0)</f>
        <v>29450000</v>
      </c>
      <c r="H11" s="2">
        <f>IF((D11+F11)&gt;(C11+E11),D11+F11-E11-C11,0)</f>
        <v>0</v>
      </c>
    </row>
    <row r="12" spans="2:8" x14ac:dyDescent="0.3">
      <c r="B12" s="1" t="s">
        <v>110</v>
      </c>
      <c r="C12" s="11">
        <f>C11*0.9</f>
        <v>28575000</v>
      </c>
      <c r="E12" s="2">
        <v>1550000</v>
      </c>
      <c r="G12" s="2">
        <f>IF((C12+E12)&gt;(D12+F12),C12+E12-F12-D12,0)</f>
        <v>30125000</v>
      </c>
      <c r="H12" s="2">
        <f>IF((D12+F12)&gt;(C12+E12),D12+F12-E12-C12,0)</f>
        <v>0</v>
      </c>
    </row>
    <row r="13" spans="2:8" x14ac:dyDescent="0.3">
      <c r="B13" s="1" t="s">
        <v>109</v>
      </c>
      <c r="C13" s="11">
        <f>C10*2.11-8756000</f>
        <v>326206500</v>
      </c>
      <c r="E13" s="2">
        <f>C13*1.01</f>
        <v>329468565</v>
      </c>
      <c r="F13" s="2">
        <f>C13*0.88</f>
        <v>287061720</v>
      </c>
      <c r="G13" s="2">
        <f>IF((C13+E13)&gt;(D13+F13),C13+E13-F13-D13,0)</f>
        <v>368613345</v>
      </c>
      <c r="H13" s="2">
        <f>IF((D13+F13)&gt;(C13+E13),D13+F13-E13-C13,0)</f>
        <v>0</v>
      </c>
    </row>
    <row r="14" spans="2:8" x14ac:dyDescent="0.3">
      <c r="B14" s="1" t="s">
        <v>108</v>
      </c>
      <c r="C14" s="11">
        <f>8756000+4903360</f>
        <v>13659360</v>
      </c>
      <c r="G14" s="2">
        <f>IF((C14+E14)&gt;(D14+F14),C14+E14-F14-D14,0)</f>
        <v>13659360</v>
      </c>
      <c r="H14" s="2">
        <f>IF((D14+F14)&gt;(C14+E14),D14+F14-E14-C14,0)</f>
        <v>0</v>
      </c>
    </row>
    <row r="15" spans="2:8" x14ac:dyDescent="0.3">
      <c r="B15" s="1" t="s">
        <v>107</v>
      </c>
      <c r="C15" s="11">
        <f>C13*0.56</f>
        <v>182675640.00000003</v>
      </c>
      <c r="E15" s="2">
        <f>C15*1.01</f>
        <v>184502396.40000004</v>
      </c>
      <c r="F15" s="2">
        <f>C15*0.98</f>
        <v>179022127.20000002</v>
      </c>
      <c r="G15" s="2">
        <f>IF((C15+E15)&gt;(D15+F15),C15+E15-F15-D15,0)</f>
        <v>188155909.20000008</v>
      </c>
      <c r="H15" s="2">
        <f>IF((D15+F15)&gt;(C15+E15),D15+F15-E15-C15,0)</f>
        <v>0</v>
      </c>
    </row>
    <row r="16" spans="2:8" x14ac:dyDescent="0.3">
      <c r="B16" s="1" t="s">
        <v>106</v>
      </c>
      <c r="C16" s="11">
        <v>47650000</v>
      </c>
      <c r="E16" s="2">
        <v>19575387.5</v>
      </c>
      <c r="F16" s="2">
        <f>58726162.5-1550000</f>
        <v>57176162.5</v>
      </c>
      <c r="G16" s="2">
        <f>IF((C16+E16)&gt;(D16+F16),C16+E16-F16-D16,0)</f>
        <v>10049225</v>
      </c>
      <c r="H16" s="2">
        <f>IF((D16+F16)&gt;(C16+E16),D16+F16-E16-C16,0)</f>
        <v>0</v>
      </c>
    </row>
    <row r="17" spans="2:8" x14ac:dyDescent="0.3">
      <c r="B17" s="1" t="s">
        <v>105</v>
      </c>
      <c r="C17" s="11">
        <f>D8*0.35</f>
        <v>6248900</v>
      </c>
      <c r="E17" s="2">
        <f>C17*0.12+3500000</f>
        <v>4249868</v>
      </c>
      <c r="F17" s="2">
        <f>E9</f>
        <v>1750000</v>
      </c>
      <c r="G17" s="2">
        <f>IF((C17+E17)&gt;(D17+F17),C17+E17-F17-D17,0)</f>
        <v>8748768</v>
      </c>
      <c r="H17" s="2">
        <f>IF((D17+F17)&gt;(C17+E17),D17+F17-E17-C17,0)</f>
        <v>0</v>
      </c>
    </row>
    <row r="18" spans="2:8" x14ac:dyDescent="0.3">
      <c r="B18" s="1" t="s">
        <v>104</v>
      </c>
      <c r="C18" s="11"/>
      <c r="D18" s="2"/>
      <c r="E18" s="11"/>
      <c r="F18" s="2">
        <f>124800000*1.1</f>
        <v>137280000</v>
      </c>
      <c r="G18" s="2">
        <f>IF((C18+E18)&gt;(D18+F18),C18+E18-F18-D18,0)</f>
        <v>0</v>
      </c>
      <c r="H18" s="2">
        <f>IF((D18+F18)&gt;(C18+E18),D18+F18-E18-C18,0)</f>
        <v>137280000</v>
      </c>
    </row>
    <row r="19" spans="2:8" x14ac:dyDescent="0.3">
      <c r="B19" s="1" t="s">
        <v>103</v>
      </c>
      <c r="C19" s="11"/>
      <c r="E19" s="11">
        <f>F18*0.78+2356620.8</f>
        <v>109435020.8</v>
      </c>
      <c r="F19" s="1"/>
      <c r="G19" s="2">
        <f>IF((C19+E19)&gt;(D19+F19),C19+E19-F19-D19,0)</f>
        <v>109435020.8</v>
      </c>
      <c r="H19" s="2">
        <f>IF((D19+F19)&gt;(C19+E19),D19+F19-E19-C19,0)</f>
        <v>0</v>
      </c>
    </row>
    <row r="20" spans="2:8" x14ac:dyDescent="0.3">
      <c r="B20" s="1" t="s">
        <v>102</v>
      </c>
      <c r="C20" s="11"/>
      <c r="E20" s="11">
        <f>E19*0.25</f>
        <v>27358755.199999999</v>
      </c>
      <c r="F20" s="1"/>
      <c r="G20" s="2">
        <f>IF((C20+E20)&gt;(D20+F20),C20+E20-F20-D20,0)</f>
        <v>27358755.199999999</v>
      </c>
      <c r="H20" s="2">
        <f>IF((D20+F20)&gt;(C20+E20),D20+F20-E20-C20,0)</f>
        <v>0</v>
      </c>
    </row>
    <row r="21" spans="2:8" x14ac:dyDescent="0.3">
      <c r="B21" s="1" t="s">
        <v>101</v>
      </c>
      <c r="C21" s="11"/>
      <c r="E21" s="11"/>
      <c r="F21" s="2">
        <v>3395059.2</v>
      </c>
      <c r="H21" s="2">
        <f>IF((D21+F21)&gt;(C21+E21),D21+F21-E21-C21,0)</f>
        <v>3395059.2</v>
      </c>
    </row>
    <row r="22" spans="2:8" x14ac:dyDescent="0.3">
      <c r="B22" s="1" t="s">
        <v>100</v>
      </c>
      <c r="C22" s="11"/>
      <c r="E22" s="11"/>
      <c r="F22" s="11">
        <f>E12</f>
        <v>1550000</v>
      </c>
      <c r="G22" s="2">
        <f>IF((C22+E22)&gt;(D22+F22),C22+E22-F22-D22,0)</f>
        <v>0</v>
      </c>
      <c r="H22" s="2">
        <f>IF((D22+F22)&gt;(C22+E22),D22+F22-E22-C22,0)</f>
        <v>1550000</v>
      </c>
    </row>
    <row r="23" spans="2:8" x14ac:dyDescent="0.3">
      <c r="B23" s="1" t="s">
        <v>99</v>
      </c>
      <c r="C23" s="2"/>
      <c r="E23" s="2">
        <f>2500450+3652846.08</f>
        <v>6153296.0800000001</v>
      </c>
      <c r="F23" s="1"/>
      <c r="G23" s="2">
        <f>IF((C23+E23)&gt;(D23+F23),C23+E23-F23-D23,0)</f>
        <v>6153296.0800000001</v>
      </c>
      <c r="H23" s="2">
        <f>IF((D23+F23)&gt;(C23+E23),D23+F23-E23-C23,0)</f>
        <v>0</v>
      </c>
    </row>
    <row r="24" spans="2:8" x14ac:dyDescent="0.3">
      <c r="B24" s="1" t="s">
        <v>98</v>
      </c>
      <c r="C24" s="2"/>
      <c r="E24" s="2">
        <v>4589000</v>
      </c>
      <c r="F24" s="1"/>
      <c r="G24" s="2">
        <f>IF((C24+E24)&gt;(D24+F24),C24+E24-F24-D24,0)</f>
        <v>4589000</v>
      </c>
      <c r="H24" s="2">
        <f>IF((D24+F24)&gt;(C24+E24),D24+F24-E24-C24,0)</f>
        <v>0</v>
      </c>
    </row>
    <row r="25" spans="2:8" x14ac:dyDescent="0.3">
      <c r="B25" s="1" t="s">
        <v>97</v>
      </c>
      <c r="C25" s="2"/>
      <c r="E25" s="2">
        <f>7890000-2985000</f>
        <v>4905000</v>
      </c>
      <c r="F25" s="1"/>
      <c r="G25" s="2">
        <f>IF((C25+E25)&gt;(D25+F25),C25+E25-F25-D25,0)</f>
        <v>4905000</v>
      </c>
      <c r="H25" s="2">
        <f>IF((D25+F25)&gt;(C25+E25),D25+F25-E25-C25,0)</f>
        <v>0</v>
      </c>
    </row>
    <row r="26" spans="2:8" x14ac:dyDescent="0.3">
      <c r="B26" s="1" t="s">
        <v>96</v>
      </c>
      <c r="C26" s="2"/>
      <c r="E26" s="2">
        <v>4756000</v>
      </c>
      <c r="F26" s="1"/>
      <c r="G26" s="2">
        <f>IF((C26+E26)&gt;(D26+F26),C26+E26-F26-D26,0)</f>
        <v>4756000</v>
      </c>
      <c r="H26" s="2">
        <f>IF((D26+F26)&gt;(C26+E26),D26+F26-E26-C26,0)</f>
        <v>0</v>
      </c>
    </row>
    <row r="27" spans="2:8" x14ac:dyDescent="0.3">
      <c r="B27" s="1" t="s">
        <v>95</v>
      </c>
      <c r="C27" s="2"/>
      <c r="E27" s="2">
        <v>1150000</v>
      </c>
      <c r="F27" s="1"/>
      <c r="G27" s="2">
        <f>IF((C27+E27)&gt;(D27+F27),C27+E27-F27-D27,0)</f>
        <v>1150000</v>
      </c>
      <c r="H27" s="2">
        <f>IF((D27+F27)&gt;(C27+E27),D27+F27-E27-C27,0)</f>
        <v>0</v>
      </c>
    </row>
    <row r="28" spans="2:8" x14ac:dyDescent="0.3">
      <c r="B28" s="1" t="s">
        <v>94</v>
      </c>
      <c r="C28" s="2"/>
      <c r="E28" s="2">
        <f>3458000-1582000</f>
        <v>1876000</v>
      </c>
      <c r="F28" s="1"/>
      <c r="G28" s="2">
        <f>IF((C28+E28)&gt;(D28+F28),C28+E28-F28-D28,0)</f>
        <v>1876000</v>
      </c>
      <c r="H28" s="2">
        <f>IF((D28+F28)&gt;(C28+E28),D28+F28-E28-C28,0)</f>
        <v>0</v>
      </c>
    </row>
    <row r="29" spans="2:8" x14ac:dyDescent="0.3">
      <c r="B29" s="1" t="s">
        <v>93</v>
      </c>
      <c r="C29" s="2"/>
      <c r="E29" s="2">
        <f>2548000-1153000+219637.06</f>
        <v>1614637.06</v>
      </c>
      <c r="F29" s="1"/>
      <c r="G29" s="2">
        <f>IF((C29+E29)&gt;(D29+F29),C29+E29-F29-D29,0)</f>
        <v>1614637.06</v>
      </c>
      <c r="H29" s="2">
        <f>IF((D29+F29)&gt;(C29+E29),D29+F29-E29-C29,0)</f>
        <v>0</v>
      </c>
    </row>
    <row r="30" spans="2:8" x14ac:dyDescent="0.3">
      <c r="B30" s="1" t="s">
        <v>39</v>
      </c>
      <c r="C30" s="2"/>
      <c r="D30" s="11">
        <v>2567500</v>
      </c>
      <c r="G30" s="2">
        <f>IF((C30+E30)&gt;(D30+F30),C30+E30-F30-D30,0)</f>
        <v>0</v>
      </c>
      <c r="H30" s="2">
        <f>IF((D30+F30)&gt;(C30+E30),D30+F30-E30-C30,0)</f>
        <v>2567500</v>
      </c>
    </row>
    <row r="31" spans="2:8" ht="15" thickBot="1" x14ac:dyDescent="0.35">
      <c r="B31" s="63" t="s">
        <v>92</v>
      </c>
      <c r="C31" s="62">
        <f>SUM(C4:C30)</f>
        <v>795515400</v>
      </c>
      <c r="D31" s="62">
        <f>SUM(D4:D30)</f>
        <v>795515400</v>
      </c>
      <c r="E31" s="62">
        <f>SUM(E4:E30)</f>
        <v>798045370.78144002</v>
      </c>
      <c r="F31" s="62">
        <f>SUM(F4:F30)</f>
        <v>798045370.78000009</v>
      </c>
      <c r="G31" s="62">
        <f>SUM(G4:G30)</f>
        <v>975833316.34000003</v>
      </c>
      <c r="H31" s="62">
        <f>SUM(H4:H30)</f>
        <v>975833316.3385601</v>
      </c>
    </row>
    <row r="32" spans="2:8" x14ac:dyDescent="0.3">
      <c r="C32" s="11"/>
      <c r="D32" s="11">
        <f>C31-D31</f>
        <v>0</v>
      </c>
      <c r="E32" s="2">
        <f>E31-F31</f>
        <v>1.4399290084838867E-3</v>
      </c>
    </row>
    <row r="34" spans="2:9" x14ac:dyDescent="0.3">
      <c r="D34" s="11"/>
    </row>
    <row r="36" spans="2:9" x14ac:dyDescent="0.3">
      <c r="B36" s="58" t="s">
        <v>91</v>
      </c>
      <c r="E36" s="1"/>
      <c r="F36" s="58" t="s">
        <v>90</v>
      </c>
      <c r="G36" s="1"/>
      <c r="I36" s="2"/>
    </row>
    <row r="37" spans="2:9" x14ac:dyDescent="0.3">
      <c r="B37" s="1" t="s">
        <v>84</v>
      </c>
      <c r="C37" s="11">
        <f>D9</f>
        <v>9845000</v>
      </c>
      <c r="D37" s="11"/>
      <c r="E37" s="1"/>
      <c r="F37" s="1" t="s">
        <v>83</v>
      </c>
      <c r="G37" s="11">
        <f>C17</f>
        <v>6248900</v>
      </c>
      <c r="I37" s="2"/>
    </row>
    <row r="38" spans="2:9" x14ac:dyDescent="0.3">
      <c r="B38" s="1" t="s">
        <v>89</v>
      </c>
      <c r="C38" s="11">
        <f>F9</f>
        <v>1545000</v>
      </c>
      <c r="D38" s="11"/>
      <c r="E38" s="1"/>
      <c r="F38" s="1" t="s">
        <v>79</v>
      </c>
      <c r="G38" s="11">
        <f>E17</f>
        <v>4249868</v>
      </c>
      <c r="I38" s="2"/>
    </row>
    <row r="39" spans="2:9" x14ac:dyDescent="0.3">
      <c r="B39" s="1" t="s">
        <v>88</v>
      </c>
      <c r="C39" s="11">
        <f>-E9</f>
        <v>-1750000</v>
      </c>
      <c r="D39" s="11"/>
      <c r="E39" s="1"/>
      <c r="F39" s="1" t="s">
        <v>88</v>
      </c>
      <c r="G39" s="11">
        <f>-F17</f>
        <v>-1750000</v>
      </c>
      <c r="I39" s="2"/>
    </row>
    <row r="40" spans="2:9" ht="15" thickBot="1" x14ac:dyDescent="0.35">
      <c r="B40" s="63" t="s">
        <v>87</v>
      </c>
      <c r="C40" s="65">
        <f>SUM(C37:C39)</f>
        <v>9640000</v>
      </c>
      <c r="D40" s="66"/>
      <c r="E40" s="1"/>
      <c r="F40" s="63" t="s">
        <v>86</v>
      </c>
      <c r="G40" s="65">
        <f>SUM(G37:G39)</f>
        <v>8748768</v>
      </c>
      <c r="I40" s="2"/>
    </row>
    <row r="41" spans="2:9" x14ac:dyDescent="0.3">
      <c r="E41" s="1"/>
      <c r="I41" s="2"/>
    </row>
    <row r="42" spans="2:9" x14ac:dyDescent="0.3">
      <c r="B42" s="58" t="s">
        <v>85</v>
      </c>
      <c r="E42" s="1"/>
      <c r="F42" s="58" t="s">
        <v>85</v>
      </c>
      <c r="I42" s="2"/>
    </row>
    <row r="43" spans="2:9" x14ac:dyDescent="0.3">
      <c r="B43" s="1" t="s">
        <v>84</v>
      </c>
      <c r="C43" s="2">
        <f>C37</f>
        <v>9845000</v>
      </c>
      <c r="D43" s="2"/>
      <c r="E43" s="1"/>
      <c r="F43" s="1" t="s">
        <v>83</v>
      </c>
      <c r="G43" s="2">
        <f>G37</f>
        <v>6248900</v>
      </c>
      <c r="I43" s="2"/>
    </row>
    <row r="44" spans="2:9" x14ac:dyDescent="0.3">
      <c r="B44" s="1" t="s">
        <v>82</v>
      </c>
      <c r="C44" s="2">
        <v>875900</v>
      </c>
      <c r="D44" s="2"/>
      <c r="E44" s="1"/>
      <c r="F44" s="1" t="s">
        <v>81</v>
      </c>
      <c r="G44" s="2">
        <v>3500000</v>
      </c>
      <c r="I44" s="2"/>
    </row>
    <row r="45" spans="2:9" x14ac:dyDescent="0.3">
      <c r="B45" s="1" t="s">
        <v>80</v>
      </c>
      <c r="C45" s="2">
        <v>648900</v>
      </c>
      <c r="D45" s="2"/>
      <c r="E45" s="1"/>
      <c r="F45" s="1" t="s">
        <v>79</v>
      </c>
      <c r="G45" s="2">
        <v>2150000</v>
      </c>
      <c r="I45" s="2"/>
    </row>
    <row r="46" spans="2:9" x14ac:dyDescent="0.3">
      <c r="B46" s="1" t="s">
        <v>78</v>
      </c>
      <c r="C46" s="2">
        <f>C39</f>
        <v>-1750000</v>
      </c>
      <c r="D46" s="2"/>
      <c r="E46" s="1"/>
      <c r="F46" s="1" t="s">
        <v>78</v>
      </c>
      <c r="G46" s="2">
        <f>G39</f>
        <v>-1750000</v>
      </c>
      <c r="I46" s="2"/>
    </row>
    <row r="47" spans="2:9" x14ac:dyDescent="0.3">
      <c r="B47" s="1" t="s">
        <v>77</v>
      </c>
      <c r="C47" s="2">
        <f>C48-SUM(C43:C46)</f>
        <v>1940200</v>
      </c>
      <c r="D47" s="2"/>
      <c r="E47" s="1"/>
      <c r="F47" s="1" t="s">
        <v>76</v>
      </c>
      <c r="G47" s="2">
        <f>G48-SUM(G43:G46)</f>
        <v>-1400132</v>
      </c>
      <c r="I47" s="2"/>
    </row>
    <row r="48" spans="2:9" ht="15" thickBot="1" x14ac:dyDescent="0.35">
      <c r="B48" s="63" t="s">
        <v>75</v>
      </c>
      <c r="C48" s="62">
        <v>11560000</v>
      </c>
      <c r="D48" s="64"/>
      <c r="E48" s="11"/>
      <c r="F48" s="63" t="s">
        <v>74</v>
      </c>
      <c r="G48" s="62">
        <f>G40</f>
        <v>8748768</v>
      </c>
      <c r="I48" s="2"/>
    </row>
    <row r="49" spans="2:9" x14ac:dyDescent="0.3">
      <c r="B49" s="1" t="s">
        <v>73</v>
      </c>
      <c r="C49" s="11">
        <f>C48-C40</f>
        <v>1920000</v>
      </c>
      <c r="D49" s="11"/>
      <c r="E49" s="1"/>
      <c r="I49" s="2"/>
    </row>
    <row r="51" spans="2:9" ht="47.4" customHeight="1" x14ac:dyDescent="0.3">
      <c r="B51" s="61" t="s">
        <v>72</v>
      </c>
      <c r="C51" s="61"/>
      <c r="F51" s="60" t="s">
        <v>71</v>
      </c>
      <c r="G51" s="60"/>
    </row>
    <row r="53" spans="2:9" x14ac:dyDescent="0.3">
      <c r="B53" s="1" t="s">
        <v>70</v>
      </c>
      <c r="F53" s="1" t="s">
        <v>70</v>
      </c>
      <c r="G53" s="1"/>
      <c r="H53" s="1"/>
    </row>
    <row r="54" spans="2:9" x14ac:dyDescent="0.3">
      <c r="B54" s="1" t="s">
        <v>69</v>
      </c>
      <c r="F54" s="1" t="s">
        <v>69</v>
      </c>
      <c r="G54" s="1"/>
      <c r="H54" s="1"/>
    </row>
    <row r="55" spans="2:9" x14ac:dyDescent="0.3">
      <c r="B55" s="1" t="s">
        <v>68</v>
      </c>
      <c r="C55" s="11">
        <f>C44</f>
        <v>875900</v>
      </c>
      <c r="F55" s="1"/>
      <c r="G55" s="11"/>
      <c r="H55" s="1"/>
    </row>
    <row r="56" spans="2:9" x14ac:dyDescent="0.3">
      <c r="B56" s="1" t="s">
        <v>67</v>
      </c>
      <c r="C56" s="11">
        <f>C45</f>
        <v>648900</v>
      </c>
      <c r="F56" s="1" t="s">
        <v>66</v>
      </c>
      <c r="G56" s="11">
        <f>G45+G47</f>
        <v>749868</v>
      </c>
      <c r="H56" s="1"/>
    </row>
    <row r="57" spans="2:9" x14ac:dyDescent="0.3">
      <c r="B57" s="1" t="s">
        <v>65</v>
      </c>
      <c r="C57" s="11">
        <f>C47</f>
        <v>1940200</v>
      </c>
      <c r="F57" s="1" t="s">
        <v>64</v>
      </c>
      <c r="G57" s="11">
        <f>-G47</f>
        <v>1400132</v>
      </c>
      <c r="H57" s="11"/>
    </row>
    <row r="58" spans="2:9" x14ac:dyDescent="0.3">
      <c r="B58" s="59" t="s">
        <v>63</v>
      </c>
      <c r="D58" s="11">
        <f>C38</f>
        <v>1545000</v>
      </c>
      <c r="F58" s="59" t="s">
        <v>62</v>
      </c>
      <c r="G58" s="1"/>
      <c r="H58" s="11">
        <f>G56+G57</f>
        <v>2150000</v>
      </c>
    </row>
    <row r="59" spans="2:9" x14ac:dyDescent="0.3">
      <c r="B59" s="59" t="s">
        <v>61</v>
      </c>
      <c r="D59" s="11">
        <f>SUM(C55:C58)-D58</f>
        <v>1920000</v>
      </c>
      <c r="F59" s="59"/>
      <c r="G59" s="1"/>
      <c r="H59" s="11"/>
    </row>
    <row r="64" spans="2:9" ht="18" x14ac:dyDescent="0.3">
      <c r="B64" s="20" t="s">
        <v>60</v>
      </c>
      <c r="E64" s="58"/>
      <c r="H64" s="58"/>
    </row>
    <row r="65" spans="2:8" ht="5.4" customHeight="1" x14ac:dyDescent="0.3"/>
    <row r="66" spans="2:8" ht="27.6" x14ac:dyDescent="0.3">
      <c r="B66" s="57" t="s">
        <v>35</v>
      </c>
      <c r="C66" s="56" t="s">
        <v>34</v>
      </c>
      <c r="D66" s="56" t="s">
        <v>33</v>
      </c>
      <c r="E66" s="56" t="s">
        <v>32</v>
      </c>
      <c r="G66" s="1"/>
      <c r="H66" s="1"/>
    </row>
    <row r="67" spans="2:8" x14ac:dyDescent="0.3">
      <c r="B67" s="50" t="s">
        <v>59</v>
      </c>
      <c r="C67" s="9"/>
      <c r="D67" s="9"/>
      <c r="E67" s="9"/>
      <c r="G67" s="1"/>
      <c r="H67" s="1"/>
    </row>
    <row r="68" spans="2:8" x14ac:dyDescent="0.3">
      <c r="B68" s="50" t="s">
        <v>58</v>
      </c>
      <c r="C68" s="49"/>
      <c r="D68" s="49">
        <f>SUM(D69:D71)</f>
        <v>0</v>
      </c>
      <c r="E68" s="49">
        <f>SUM(E69:E71)</f>
        <v>224769000</v>
      </c>
      <c r="G68" s="1"/>
      <c r="H68" s="1"/>
    </row>
    <row r="69" spans="2:8" x14ac:dyDescent="0.3">
      <c r="B69" s="9" t="s">
        <v>57</v>
      </c>
      <c r="C69" s="46">
        <f>G10</f>
        <v>165194000</v>
      </c>
      <c r="D69" s="46"/>
      <c r="E69" s="46">
        <f>C69+D69</f>
        <v>165194000</v>
      </c>
      <c r="G69" s="1"/>
      <c r="H69" s="1"/>
    </row>
    <row r="70" spans="2:8" x14ac:dyDescent="0.3">
      <c r="B70" s="9" t="s">
        <v>56</v>
      </c>
      <c r="C70" s="46">
        <f>G12</f>
        <v>30125000</v>
      </c>
      <c r="D70" s="46"/>
      <c r="E70" s="46">
        <f>C70+D70</f>
        <v>30125000</v>
      </c>
      <c r="G70" s="1"/>
      <c r="H70" s="1"/>
    </row>
    <row r="71" spans="2:8" x14ac:dyDescent="0.3">
      <c r="B71" s="9" t="s">
        <v>55</v>
      </c>
      <c r="C71" s="46">
        <f>G11</f>
        <v>29450000</v>
      </c>
      <c r="D71" s="46"/>
      <c r="E71" s="46">
        <f>C71+D71</f>
        <v>29450000</v>
      </c>
      <c r="G71" s="1"/>
      <c r="H71" s="1"/>
    </row>
    <row r="72" spans="2:8" x14ac:dyDescent="0.3">
      <c r="B72" s="50"/>
      <c r="C72" s="9"/>
      <c r="D72" s="9"/>
      <c r="E72" s="9"/>
      <c r="G72" s="1"/>
      <c r="H72" s="1"/>
    </row>
    <row r="73" spans="2:8" x14ac:dyDescent="0.3">
      <c r="B73" s="50" t="s">
        <v>54</v>
      </c>
      <c r="C73" s="49"/>
      <c r="D73" s="49">
        <f>SUM(D74:D76)</f>
        <v>0</v>
      </c>
      <c r="E73" s="49">
        <f>SUM(E74:E76)</f>
        <v>602708479.20000005</v>
      </c>
      <c r="G73" s="1"/>
      <c r="H73" s="1"/>
    </row>
    <row r="74" spans="2:8" x14ac:dyDescent="0.3">
      <c r="B74" s="9" t="s">
        <v>53</v>
      </c>
      <c r="C74" s="55">
        <v>35890000</v>
      </c>
      <c r="D74" s="55"/>
      <c r="E74" s="46">
        <f>C74+D74</f>
        <v>35890000</v>
      </c>
      <c r="G74" s="1"/>
      <c r="H74" s="1"/>
    </row>
    <row r="75" spans="2:8" x14ac:dyDescent="0.3">
      <c r="B75" s="9" t="s">
        <v>52</v>
      </c>
      <c r="C75" s="46">
        <f>G13+G15</f>
        <v>556769254.20000005</v>
      </c>
      <c r="D75" s="46"/>
      <c r="E75" s="46">
        <f>C75+D75</f>
        <v>556769254.20000005</v>
      </c>
      <c r="G75" s="1"/>
      <c r="H75" s="1"/>
    </row>
    <row r="76" spans="2:8" x14ac:dyDescent="0.3">
      <c r="B76" s="9" t="s">
        <v>51</v>
      </c>
      <c r="C76" s="46">
        <f>G16</f>
        <v>10049225</v>
      </c>
      <c r="D76" s="46"/>
      <c r="E76" s="46">
        <f>C76+D76</f>
        <v>10049225</v>
      </c>
      <c r="G76" s="1"/>
      <c r="H76" s="1"/>
    </row>
    <row r="77" spans="2:8" x14ac:dyDescent="0.3">
      <c r="B77" s="36"/>
      <c r="C77" s="45"/>
      <c r="D77" s="45"/>
      <c r="E77" s="45"/>
      <c r="G77" s="1"/>
      <c r="H77" s="1"/>
    </row>
    <row r="78" spans="2:8" ht="15" thickBot="1" x14ac:dyDescent="0.35">
      <c r="B78" s="54" t="s">
        <v>50</v>
      </c>
      <c r="C78" s="40">
        <f>SUM(C69:C76)</f>
        <v>827477479.20000005</v>
      </c>
      <c r="D78" s="40">
        <f>D73+D68</f>
        <v>0</v>
      </c>
      <c r="E78" s="40">
        <f>E73+E68</f>
        <v>827477479.20000005</v>
      </c>
      <c r="G78" s="1"/>
      <c r="H78" s="1"/>
    </row>
    <row r="79" spans="2:8" ht="15" thickTop="1" x14ac:dyDescent="0.3">
      <c r="B79" s="53"/>
      <c r="C79" s="47"/>
      <c r="D79" s="47"/>
      <c r="E79" s="47"/>
      <c r="G79" s="1"/>
      <c r="H79" s="1"/>
    </row>
    <row r="80" spans="2:8" x14ac:dyDescent="0.3">
      <c r="B80" s="50" t="s">
        <v>49</v>
      </c>
      <c r="C80" s="9"/>
      <c r="D80" s="9"/>
      <c r="E80" s="9"/>
      <c r="G80" s="1"/>
      <c r="H80" s="1"/>
    </row>
    <row r="81" spans="2:8" x14ac:dyDescent="0.3">
      <c r="B81" s="52" t="s">
        <v>48</v>
      </c>
      <c r="C81" s="51"/>
      <c r="D81" s="51"/>
      <c r="E81" s="51"/>
      <c r="G81" s="1"/>
      <c r="H81" s="1"/>
    </row>
    <row r="82" spans="2:8" x14ac:dyDescent="0.3">
      <c r="B82" s="43" t="s">
        <v>47</v>
      </c>
      <c r="C82" s="46">
        <f>H5</f>
        <v>1769000</v>
      </c>
      <c r="D82" s="46"/>
      <c r="E82" s="46">
        <f>C82+D82</f>
        <v>1769000</v>
      </c>
      <c r="G82" s="1"/>
      <c r="H82" s="1"/>
    </row>
    <row r="83" spans="2:8" x14ac:dyDescent="0.3">
      <c r="B83" s="43" t="s">
        <v>46</v>
      </c>
      <c r="C83" s="46">
        <f>H9-G17</f>
        <v>891232</v>
      </c>
      <c r="D83" s="46">
        <f>D59</f>
        <v>1920000</v>
      </c>
      <c r="E83" s="46">
        <f>C83+D83</f>
        <v>2811232</v>
      </c>
      <c r="G83" s="1"/>
      <c r="H83" s="1"/>
    </row>
    <row r="84" spans="2:8" x14ac:dyDescent="0.3">
      <c r="B84" s="50"/>
      <c r="C84" s="9"/>
      <c r="D84" s="9"/>
      <c r="E84" s="9"/>
      <c r="G84" s="1"/>
      <c r="H84" s="1"/>
    </row>
    <row r="85" spans="2:8" x14ac:dyDescent="0.3">
      <c r="B85" s="50" t="s">
        <v>45</v>
      </c>
      <c r="C85" s="49"/>
      <c r="D85" s="49"/>
      <c r="E85" s="49"/>
      <c r="G85" s="1"/>
      <c r="H85" s="1"/>
    </row>
    <row r="86" spans="2:8" x14ac:dyDescent="0.3">
      <c r="B86" s="9" t="s">
        <v>44</v>
      </c>
      <c r="C86" s="46">
        <f>H7</f>
        <v>775108099.13856006</v>
      </c>
      <c r="D86" s="46"/>
      <c r="E86" s="46">
        <f>C86+D86</f>
        <v>775108099.13856006</v>
      </c>
      <c r="G86" s="1"/>
      <c r="H86" s="1"/>
    </row>
    <row r="87" spans="2:8" x14ac:dyDescent="0.3">
      <c r="B87" s="9" t="s">
        <v>43</v>
      </c>
      <c r="C87" s="46">
        <f>H8</f>
        <v>18220000</v>
      </c>
      <c r="D87" s="46"/>
      <c r="E87" s="46">
        <f>C87+D87</f>
        <v>18220000</v>
      </c>
      <c r="G87" s="1"/>
      <c r="H87" s="1"/>
    </row>
    <row r="88" spans="2:8" x14ac:dyDescent="0.3">
      <c r="B88" s="9" t="s">
        <v>42</v>
      </c>
      <c r="C88" s="46">
        <f>H6+C116</f>
        <v>538615.81319999939</v>
      </c>
      <c r="D88" s="46"/>
      <c r="E88" s="46">
        <f>C88+D88</f>
        <v>538615.81319999939</v>
      </c>
      <c r="G88" s="1"/>
      <c r="H88" s="1"/>
    </row>
    <row r="89" spans="2:8" x14ac:dyDescent="0.3">
      <c r="B89" s="9"/>
      <c r="C89" s="46"/>
      <c r="D89" s="46"/>
      <c r="E89" s="46"/>
      <c r="G89" s="1"/>
      <c r="H89" s="1"/>
    </row>
    <row r="90" spans="2:8" ht="15" thickBot="1" x14ac:dyDescent="0.35">
      <c r="B90" s="41" t="s">
        <v>41</v>
      </c>
      <c r="C90" s="40">
        <f>SUM(C82:C89)</f>
        <v>796526946.95176005</v>
      </c>
      <c r="D90" s="40">
        <f>SUM(D82:D89)</f>
        <v>1920000</v>
      </c>
      <c r="E90" s="40">
        <f>SUM(E82:E89)</f>
        <v>798446946.95176005</v>
      </c>
      <c r="G90" s="1"/>
      <c r="H90" s="1"/>
    </row>
    <row r="91" spans="2:8" ht="15" thickTop="1" x14ac:dyDescent="0.3">
      <c r="B91" s="48"/>
      <c r="C91" s="47"/>
      <c r="D91" s="47"/>
      <c r="E91" s="47"/>
      <c r="G91" s="1"/>
      <c r="H91" s="1"/>
    </row>
    <row r="92" spans="2:8" x14ac:dyDescent="0.3">
      <c r="B92" s="43" t="s">
        <v>40</v>
      </c>
      <c r="C92" s="46">
        <f>H4</f>
        <v>26000000</v>
      </c>
      <c r="D92" s="46"/>
      <c r="E92" s="46">
        <f>C92+D92</f>
        <v>26000000</v>
      </c>
      <c r="G92" s="1"/>
      <c r="H92" s="1"/>
    </row>
    <row r="93" spans="2:8" x14ac:dyDescent="0.3">
      <c r="B93" s="43" t="s">
        <v>39</v>
      </c>
      <c r="C93" s="45">
        <f>C133</f>
        <v>4950532.246799998</v>
      </c>
      <c r="D93" s="45">
        <f>E93-C93</f>
        <v>-1920000</v>
      </c>
      <c r="E93" s="45">
        <f>E133</f>
        <v>3030532.246799998</v>
      </c>
      <c r="F93" s="44" t="s">
        <v>38</v>
      </c>
      <c r="G93" s="1"/>
      <c r="H93" s="1"/>
    </row>
    <row r="94" spans="2:8" x14ac:dyDescent="0.3">
      <c r="B94" s="43"/>
      <c r="C94" s="42"/>
      <c r="D94" s="42"/>
      <c r="E94" s="42"/>
      <c r="G94" s="1"/>
      <c r="H94" s="1"/>
    </row>
    <row r="95" spans="2:8" ht="15" thickBot="1" x14ac:dyDescent="0.35">
      <c r="B95" s="41" t="s">
        <v>37</v>
      </c>
      <c r="C95" s="40">
        <f>SUM(C90:C94)</f>
        <v>827477479.19856</v>
      </c>
      <c r="D95" s="40">
        <f>SUM(D90:D94)</f>
        <v>0</v>
      </c>
      <c r="E95" s="40">
        <f>SUM(E90:E94)</f>
        <v>827477479.19856</v>
      </c>
      <c r="G95" s="1"/>
      <c r="H95" s="1"/>
    </row>
    <row r="96" spans="2:8" ht="15" thickTop="1" x14ac:dyDescent="0.3">
      <c r="C96" s="2">
        <f>C95-C78</f>
        <v>-1.4400482177734375E-3</v>
      </c>
      <c r="D96" s="2">
        <f>D95-D78</f>
        <v>0</v>
      </c>
      <c r="E96" s="2">
        <f>E95-E78</f>
        <v>-1.4400482177734375E-3</v>
      </c>
      <c r="G96" s="1"/>
      <c r="H96" s="1"/>
    </row>
    <row r="99" spans="2:6" ht="18" x14ac:dyDescent="0.3">
      <c r="B99" s="20" t="s">
        <v>36</v>
      </c>
    </row>
    <row r="100" spans="2:6" ht="3.6" customHeight="1" x14ac:dyDescent="0.3">
      <c r="B100" s="19"/>
    </row>
    <row r="101" spans="2:6" ht="27.6" x14ac:dyDescent="0.3">
      <c r="B101" s="39" t="s">
        <v>35</v>
      </c>
      <c r="C101" s="38" t="s">
        <v>34</v>
      </c>
      <c r="D101" s="38" t="s">
        <v>33</v>
      </c>
      <c r="E101" s="38" t="s">
        <v>32</v>
      </c>
      <c r="F101" s="37" t="s">
        <v>31</v>
      </c>
    </row>
    <row r="102" spans="2:6" x14ac:dyDescent="0.3">
      <c r="B102" s="9" t="s">
        <v>30</v>
      </c>
      <c r="C102" s="25">
        <f>H18</f>
        <v>137280000</v>
      </c>
      <c r="D102" s="24">
        <v>0</v>
      </c>
      <c r="E102" s="24">
        <f>C102+D102</f>
        <v>137280000</v>
      </c>
    </row>
    <row r="103" spans="2:6" x14ac:dyDescent="0.3">
      <c r="B103" s="36" t="s">
        <v>29</v>
      </c>
      <c r="C103" s="35">
        <f>-(C14+E19+E20-35890000)</f>
        <v>-114563136</v>
      </c>
      <c r="D103" s="34">
        <v>0</v>
      </c>
      <c r="E103" s="24">
        <f>C103+D103</f>
        <v>-114563136</v>
      </c>
    </row>
    <row r="104" spans="2:6" ht="15" thickBot="1" x14ac:dyDescent="0.35">
      <c r="B104" s="4" t="s">
        <v>28</v>
      </c>
      <c r="C104" s="3">
        <f>SUM(C102:C103)</f>
        <v>22716864</v>
      </c>
      <c r="D104" s="3">
        <f>SUM(D102:D103)</f>
        <v>0</v>
      </c>
      <c r="E104" s="3">
        <f>SUM(E102:E103)</f>
        <v>22716864</v>
      </c>
    </row>
    <row r="105" spans="2:6" x14ac:dyDescent="0.3">
      <c r="B105" s="32" t="s">
        <v>27</v>
      </c>
      <c r="C105" s="31">
        <f>H21</f>
        <v>3395059.2</v>
      </c>
      <c r="D105" s="30">
        <f>-G56+H58</f>
        <v>1400132</v>
      </c>
      <c r="E105" s="24">
        <f>C105+D105</f>
        <v>4795191.2</v>
      </c>
      <c r="F105" s="33" t="s">
        <v>26</v>
      </c>
    </row>
    <row r="106" spans="2:6" x14ac:dyDescent="0.3">
      <c r="B106" s="32" t="s">
        <v>25</v>
      </c>
      <c r="C106" s="31"/>
      <c r="D106" s="30"/>
      <c r="E106" s="24">
        <f>C106+D106</f>
        <v>0</v>
      </c>
    </row>
    <row r="107" spans="2:6" x14ac:dyDescent="0.3">
      <c r="B107" s="9" t="s">
        <v>24</v>
      </c>
      <c r="C107" s="27"/>
      <c r="D107" s="24">
        <v>0</v>
      </c>
      <c r="E107" s="24">
        <f>C107+D107</f>
        <v>0</v>
      </c>
    </row>
    <row r="108" spans="2:6" x14ac:dyDescent="0.3">
      <c r="B108" s="28" t="s">
        <v>23</v>
      </c>
      <c r="C108" s="27">
        <f>-G23</f>
        <v>-6153296.0800000001</v>
      </c>
      <c r="D108" s="24">
        <v>0</v>
      </c>
      <c r="E108" s="24">
        <f>C108+D108</f>
        <v>-6153296.0800000001</v>
      </c>
    </row>
    <row r="109" spans="2:6" x14ac:dyDescent="0.3">
      <c r="B109" s="28" t="s">
        <v>22</v>
      </c>
      <c r="C109" s="27">
        <f>-G24</f>
        <v>-4589000</v>
      </c>
      <c r="D109" s="24">
        <v>0</v>
      </c>
      <c r="E109" s="24">
        <f>C109+D109</f>
        <v>-4589000</v>
      </c>
    </row>
    <row r="110" spans="2:6" x14ac:dyDescent="0.3">
      <c r="B110" s="28" t="s">
        <v>21</v>
      </c>
      <c r="C110" s="27">
        <f>-G25</f>
        <v>-4905000</v>
      </c>
      <c r="D110" s="24">
        <f>-(C55+C56-D58)</f>
        <v>20200</v>
      </c>
      <c r="E110" s="24">
        <f>C110+D110</f>
        <v>-4884800</v>
      </c>
      <c r="F110" s="29" t="s">
        <v>20</v>
      </c>
    </row>
    <row r="111" spans="2:6" ht="27.6" x14ac:dyDescent="0.3">
      <c r="B111" s="28" t="s">
        <v>19</v>
      </c>
      <c r="C111" s="27">
        <f>-G26</f>
        <v>-4756000</v>
      </c>
      <c r="D111" s="24">
        <v>0</v>
      </c>
      <c r="E111" s="24">
        <f>C111+D111</f>
        <v>-4756000</v>
      </c>
    </row>
    <row r="112" spans="2:6" x14ac:dyDescent="0.3">
      <c r="B112" s="28" t="s">
        <v>18</v>
      </c>
      <c r="C112" s="27">
        <f>-G27</f>
        <v>-1150000</v>
      </c>
      <c r="D112" s="24">
        <v>0</v>
      </c>
      <c r="E112" s="24">
        <f>C112+D112</f>
        <v>-1150000</v>
      </c>
    </row>
    <row r="113" spans="2:7" x14ac:dyDescent="0.3">
      <c r="B113" s="7" t="s">
        <v>17</v>
      </c>
      <c r="C113" s="27">
        <f>-(G29+G28)</f>
        <v>-3490637.06</v>
      </c>
      <c r="D113" s="24">
        <v>0</v>
      </c>
      <c r="E113" s="24">
        <f>C113+D113</f>
        <v>-3490637.06</v>
      </c>
    </row>
    <row r="114" spans="2:7" x14ac:dyDescent="0.3">
      <c r="B114" s="9" t="s">
        <v>16</v>
      </c>
      <c r="C114" s="25"/>
      <c r="D114" s="26">
        <v>0</v>
      </c>
      <c r="E114" s="24">
        <f>C114+D114</f>
        <v>0</v>
      </c>
    </row>
    <row r="115" spans="2:7" ht="15" thickBot="1" x14ac:dyDescent="0.35">
      <c r="B115" s="4" t="s">
        <v>15</v>
      </c>
      <c r="C115" s="3">
        <f>SUM(C104:C113)</f>
        <v>1067990.0599999973</v>
      </c>
      <c r="D115" s="3">
        <f>SUM(D104:D113)</f>
        <v>1420332</v>
      </c>
      <c r="E115" s="3">
        <f>SUM(E104:E113)</f>
        <v>2488322.0599999973</v>
      </c>
    </row>
    <row r="116" spans="2:7" x14ac:dyDescent="0.3">
      <c r="B116" s="9" t="s">
        <v>14</v>
      </c>
      <c r="C116" s="25">
        <f>C115*0.22</f>
        <v>234957.81319999939</v>
      </c>
      <c r="D116" s="24">
        <v>0</v>
      </c>
      <c r="E116" s="24">
        <f>C116+D116</f>
        <v>234957.81319999939</v>
      </c>
    </row>
    <row r="117" spans="2:7" ht="15" thickBot="1" x14ac:dyDescent="0.35">
      <c r="B117" s="4" t="s">
        <v>13</v>
      </c>
      <c r="C117" s="3">
        <f>C115-C116</f>
        <v>833032.24679999787</v>
      </c>
      <c r="D117" s="3">
        <f>D115-D116</f>
        <v>1420332</v>
      </c>
      <c r="E117" s="3">
        <f>C117+D117</f>
        <v>2253364.246799998</v>
      </c>
    </row>
    <row r="118" spans="2:7" x14ac:dyDescent="0.3">
      <c r="B118" s="23"/>
      <c r="C118" s="22"/>
      <c r="D118" s="21"/>
      <c r="E118" s="21"/>
    </row>
    <row r="119" spans="2:7" ht="18" x14ac:dyDescent="0.3">
      <c r="B119" s="20" t="s">
        <v>12</v>
      </c>
      <c r="C119" s="18"/>
      <c r="D119" s="17"/>
      <c r="E119" s="17"/>
      <c r="F119" s="16"/>
    </row>
    <row r="120" spans="2:7" ht="7.8" customHeight="1" x14ac:dyDescent="0.3">
      <c r="B120" s="19"/>
      <c r="C120" s="18"/>
      <c r="D120" s="17"/>
      <c r="E120" s="17"/>
      <c r="F120" s="16"/>
    </row>
    <row r="121" spans="2:7" ht="27.6" x14ac:dyDescent="0.3">
      <c r="B121" s="15" t="s">
        <v>11</v>
      </c>
      <c r="C121" s="14"/>
      <c r="D121" s="13"/>
      <c r="E121" s="13"/>
    </row>
    <row r="122" spans="2:7" x14ac:dyDescent="0.3">
      <c r="B122" s="7" t="s">
        <v>10</v>
      </c>
      <c r="C122" s="8"/>
      <c r="D122" s="5">
        <v>0</v>
      </c>
      <c r="E122" s="5">
        <f>C122+D122</f>
        <v>0</v>
      </c>
    </row>
    <row r="123" spans="2:7" x14ac:dyDescent="0.3">
      <c r="B123" s="7" t="s">
        <v>9</v>
      </c>
      <c r="C123" s="8">
        <f>F22</f>
        <v>1550000</v>
      </c>
      <c r="D123" s="5">
        <v>0</v>
      </c>
      <c r="E123" s="5">
        <f>C123+D123</f>
        <v>1550000</v>
      </c>
    </row>
    <row r="124" spans="2:7" ht="27.6" x14ac:dyDescent="0.3">
      <c r="B124" s="7" t="s">
        <v>8</v>
      </c>
      <c r="C124" s="8">
        <v>0</v>
      </c>
      <c r="D124" s="5">
        <f>-C57-G57</f>
        <v>-3340332</v>
      </c>
      <c r="E124" s="5">
        <f>C124+D124</f>
        <v>-3340332</v>
      </c>
      <c r="F124" s="12" t="s">
        <v>7</v>
      </c>
      <c r="G124" s="11"/>
    </row>
    <row r="125" spans="2:7" ht="27.6" x14ac:dyDescent="0.3">
      <c r="B125" s="10" t="s">
        <v>6</v>
      </c>
      <c r="C125" s="8"/>
      <c r="D125" s="5"/>
      <c r="E125" s="5">
        <f>C125+D125</f>
        <v>0</v>
      </c>
    </row>
    <row r="126" spans="2:7" ht="27.6" x14ac:dyDescent="0.3">
      <c r="B126" s="7" t="s">
        <v>5</v>
      </c>
      <c r="C126" s="8"/>
      <c r="D126" s="5">
        <v>0</v>
      </c>
      <c r="E126" s="5">
        <f>C126+D126</f>
        <v>0</v>
      </c>
    </row>
    <row r="127" spans="2:7" x14ac:dyDescent="0.3">
      <c r="B127" s="7"/>
      <c r="C127" s="8"/>
      <c r="D127" s="5"/>
      <c r="E127" s="5">
        <f>C127+D127</f>
        <v>0</v>
      </c>
    </row>
    <row r="128" spans="2:7" ht="28.2" thickBot="1" x14ac:dyDescent="0.35">
      <c r="B128" s="4" t="s">
        <v>4</v>
      </c>
      <c r="C128" s="3">
        <f>SUM(C121:C127)</f>
        <v>1550000</v>
      </c>
      <c r="D128" s="3">
        <f>SUM(D121:D127)</f>
        <v>-3340332</v>
      </c>
      <c r="E128" s="3">
        <f>C128+D128</f>
        <v>-1790332</v>
      </c>
    </row>
    <row r="129" spans="2:5" x14ac:dyDescent="0.3">
      <c r="B129" s="9"/>
      <c r="C129" s="8"/>
      <c r="D129" s="5"/>
      <c r="E129" s="5">
        <f>C129+D129</f>
        <v>0</v>
      </c>
    </row>
    <row r="130" spans="2:5" ht="28.2" thickBot="1" x14ac:dyDescent="0.35">
      <c r="B130" s="4" t="s">
        <v>3</v>
      </c>
      <c r="C130" s="3">
        <f>C128+C117</f>
        <v>2383032.246799998</v>
      </c>
      <c r="D130" s="3">
        <f>D128+D117</f>
        <v>-1920000</v>
      </c>
      <c r="E130" s="3">
        <f>C130+D130</f>
        <v>463032.24679999799</v>
      </c>
    </row>
    <row r="131" spans="2:5" x14ac:dyDescent="0.3">
      <c r="B131" s="7" t="s">
        <v>2</v>
      </c>
      <c r="C131" s="6">
        <f>H30</f>
        <v>2567500</v>
      </c>
      <c r="D131" s="5">
        <v>0</v>
      </c>
      <c r="E131" s="5">
        <f>C131+D131</f>
        <v>2567500</v>
      </c>
    </row>
    <row r="132" spans="2:5" x14ac:dyDescent="0.3">
      <c r="B132" s="7" t="s">
        <v>1</v>
      </c>
      <c r="C132" s="6">
        <v>0</v>
      </c>
      <c r="D132" s="5">
        <v>0</v>
      </c>
      <c r="E132" s="5">
        <f>C132+D132</f>
        <v>0</v>
      </c>
    </row>
    <row r="133" spans="2:5" ht="15" thickBot="1" x14ac:dyDescent="0.35">
      <c r="B133" s="4" t="s">
        <v>0</v>
      </c>
      <c r="C133" s="3">
        <f>SUM(C130:C132)</f>
        <v>4950532.246799998</v>
      </c>
      <c r="D133" s="3">
        <v>0</v>
      </c>
      <c r="E133" s="3">
        <f>SUM(E130:E132)</f>
        <v>3030532.246799998</v>
      </c>
    </row>
    <row r="134" spans="2:5" x14ac:dyDescent="0.3">
      <c r="C134" s="2"/>
      <c r="D134" s="2"/>
    </row>
  </sheetData>
  <mergeCells count="6">
    <mergeCell ref="C2:D2"/>
    <mergeCell ref="E2:F2"/>
    <mergeCell ref="G2:H2"/>
    <mergeCell ref="B2:B3"/>
    <mergeCell ref="B51:C51"/>
    <mergeCell ref="F51:G5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Practical Application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Kamal Aryal</dc:creator>
  <cp:lastModifiedBy>Kamal Aryal</cp:lastModifiedBy>
  <dcterms:created xsi:type="dcterms:W3CDTF">2025-08-16T17:03:00Z</dcterms:created>
  <dcterms:modified xsi:type="dcterms:W3CDTF">2025-08-16T17:03:37Z</dcterms:modified>
</cp:coreProperties>
</file>